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<sst xmlns="http://schemas.openxmlformats.org/spreadsheetml/2006/main" count="51" uniqueCount="50">
  <si>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Дата наблюдений:</t>
  </si>
  <si>
    <t>Долгота L:</t>
  </si>
  <si>
    <t>Широта В:</t>
  </si>
  <si>
    <t>Обозначения</t>
  </si>
  <si>
    <t>Приём II</t>
  </si>
  <si>
    <t>Приём I</t>
  </si>
  <si>
    <t>ВЫЧИСЛЕНИЕ ВСЕМИРНОГО ВРЕМЕНИ</t>
  </si>
  <si>
    <r>
      <t>D</t>
    </r>
    <r>
      <rPr>
        <sz val="8"/>
        <rFont val="Arial Cyr"/>
        <family val="0"/>
      </rPr>
      <t>m</t>
    </r>
  </si>
  <si>
    <r>
      <t>M</t>
    </r>
    <r>
      <rPr>
        <sz val="8"/>
        <rFont val="Arial Cyr"/>
        <family val="0"/>
      </rPr>
      <t>(hms)</t>
    </r>
  </si>
  <si>
    <t>ВЫЧИСЛЕНИЕ ЧАСОВОГО УГЛА СОЛНЦА</t>
  </si>
  <si>
    <r>
      <t>M</t>
    </r>
    <r>
      <rPr>
        <sz val="8"/>
        <rFont val="Arial Cyr"/>
        <family val="0"/>
      </rPr>
      <t>(h)</t>
    </r>
  </si>
  <si>
    <r>
      <t>n</t>
    </r>
    <r>
      <rPr>
        <sz val="8"/>
        <rFont val="Arial Cyr"/>
        <family val="0"/>
      </rPr>
      <t>o</t>
    </r>
    <r>
      <rPr>
        <sz val="10"/>
        <rFont val="Arial Cyr"/>
        <family val="0"/>
      </rPr>
      <t>+12</t>
    </r>
    <r>
      <rPr>
        <sz val="8"/>
        <rFont val="Arial Cyr"/>
        <family val="0"/>
      </rPr>
      <t>h</t>
    </r>
  </si>
  <si>
    <r>
      <t>L</t>
    </r>
    <r>
      <rPr>
        <sz val="8"/>
        <rFont val="Arial Cyr"/>
        <family val="0"/>
      </rPr>
      <t>(hms)</t>
    </r>
  </si>
  <si>
    <r>
      <t>t</t>
    </r>
    <r>
      <rPr>
        <sz val="8"/>
        <rFont val="Arial Cyr"/>
        <family val="0"/>
      </rPr>
      <t>(hms)</t>
    </r>
  </si>
  <si>
    <r>
      <t>t</t>
    </r>
    <r>
      <rPr>
        <sz val="8"/>
        <rFont val="Arial Cyr"/>
        <family val="0"/>
      </rPr>
      <t>(г.м.с.)</t>
    </r>
  </si>
  <si>
    <r>
      <t>V</t>
    </r>
    <r>
      <rPr>
        <sz val="8"/>
        <rFont val="Arial Cyr"/>
        <family val="0"/>
      </rPr>
      <t>n(s)</t>
    </r>
  </si>
  <si>
    <t>(hms)</t>
  </si>
  <si>
    <r>
      <t>(V</t>
    </r>
    <r>
      <rPr>
        <sz val="8"/>
        <rFont val="Arial Cyr"/>
        <family val="0"/>
      </rPr>
      <t>n</t>
    </r>
    <r>
      <rPr>
        <sz val="10"/>
        <rFont val="Arial Cyr"/>
        <family val="0"/>
      </rPr>
      <t>*M</t>
    </r>
    <r>
      <rPr>
        <sz val="8"/>
        <rFont val="Arial Cyr"/>
        <family val="0"/>
      </rPr>
      <t>h(s)</t>
    </r>
    <r>
      <rPr>
        <sz val="10"/>
        <rFont val="Arial Cyr"/>
        <family val="0"/>
      </rPr>
      <t>)</t>
    </r>
    <r>
      <rPr>
        <sz val="8"/>
        <rFont val="Arial Cyr"/>
        <family val="0"/>
      </rPr>
      <t>s</t>
    </r>
  </si>
  <si>
    <t>ВЫЧИСЛЕНИЕ СКЛОНЕНИЯ СОЛНЦА</t>
  </si>
  <si>
    <r>
      <t>б</t>
    </r>
    <r>
      <rPr>
        <sz val="8"/>
        <rFont val="Arial Cyr"/>
        <family val="0"/>
      </rPr>
      <t>(г.м.с)</t>
    </r>
  </si>
  <si>
    <r>
      <t>(V</t>
    </r>
    <r>
      <rPr>
        <sz val="8"/>
        <rFont val="Arial Cyr"/>
        <family val="0"/>
      </rPr>
      <t>б</t>
    </r>
    <r>
      <rPr>
        <sz val="10"/>
        <rFont val="Arial Cyr"/>
        <family val="0"/>
      </rPr>
      <t>*М</t>
    </r>
    <r>
      <rPr>
        <sz val="8"/>
        <rFont val="Arial Cyr"/>
        <family val="0"/>
      </rPr>
      <t>h</t>
    </r>
    <r>
      <rPr>
        <sz val="10"/>
        <rFont val="Arial Cyr"/>
        <family val="0"/>
      </rPr>
      <t>)</t>
    </r>
    <r>
      <rPr>
        <sz val="8"/>
        <rFont val="Arial Cyr"/>
        <family val="0"/>
      </rPr>
      <t>м</t>
    </r>
  </si>
  <si>
    <r>
      <t>V</t>
    </r>
    <r>
      <rPr>
        <sz val="8"/>
        <rFont val="Arial Cyr"/>
        <family val="0"/>
      </rPr>
      <t>б(с)</t>
    </r>
  </si>
  <si>
    <r>
      <t>б</t>
    </r>
    <r>
      <rPr>
        <sz val="8"/>
        <rFont val="Arial Cyr"/>
        <family val="0"/>
      </rPr>
      <t>о(г.м.с)</t>
    </r>
  </si>
  <si>
    <r>
      <t>n</t>
    </r>
    <r>
      <rPr>
        <sz val="10"/>
        <rFont val="Arial Cyr"/>
        <family val="0"/>
      </rPr>
      <t>+2</t>
    </r>
    <r>
      <rPr>
        <sz val="8"/>
        <rFont val="Arial Cyr"/>
        <family val="0"/>
      </rPr>
      <t>h</t>
    </r>
  </si>
  <si>
    <t>ВЫЧИСЛЕНИЕ АЗИМУТА СОЛНЦА</t>
  </si>
  <si>
    <t>(г.м.с)</t>
  </si>
  <si>
    <r>
      <t>В</t>
    </r>
    <r>
      <rPr>
        <sz val="8"/>
        <rFont val="Arial Cyr"/>
        <family val="0"/>
      </rPr>
      <t>(г.м.с)</t>
    </r>
  </si>
  <si>
    <r>
      <t>ctg</t>
    </r>
    <r>
      <rPr>
        <sz val="12"/>
        <rFont val="Arial Cyr"/>
        <family val="0"/>
      </rPr>
      <t>a</t>
    </r>
  </si>
  <si>
    <r>
      <t>a'</t>
    </r>
    <r>
      <rPr>
        <sz val="8"/>
        <rFont val="Arial Cyr"/>
        <family val="0"/>
      </rPr>
      <t>(г.м.с)</t>
    </r>
  </si>
  <si>
    <t>четверть</t>
  </si>
  <si>
    <t>а</t>
  </si>
  <si>
    <t>ввести!</t>
  </si>
  <si>
    <t>если время зимнее, то</t>
  </si>
  <si>
    <t>введите 1;если летнее,</t>
  </si>
  <si>
    <t>то 2:</t>
  </si>
  <si>
    <t>ВЫЧИСЛЕНИЕ АЗИМУТА И ДИРЕКЦИОННОГО УГЛА</t>
  </si>
  <si>
    <t>Q</t>
  </si>
  <si>
    <t>A</t>
  </si>
  <si>
    <r>
      <t>А</t>
    </r>
    <r>
      <rPr>
        <sz val="8"/>
        <rFont val="Arial Cyr"/>
        <family val="0"/>
      </rPr>
      <t>ср.</t>
    </r>
  </si>
  <si>
    <r>
      <t>L</t>
    </r>
    <r>
      <rPr>
        <sz val="8"/>
        <rFont val="Arial Cyr"/>
        <family val="0"/>
      </rPr>
      <t>o</t>
    </r>
  </si>
  <si>
    <t>сближение</t>
  </si>
  <si>
    <t>альфа</t>
  </si>
  <si>
    <t>допуск:</t>
  </si>
  <si>
    <t>мин.</t>
  </si>
  <si>
    <t>Группа:</t>
  </si>
  <si>
    <t>расхождение:</t>
  </si>
  <si>
    <t>Вычислял:</t>
  </si>
  <si>
    <t>Вариант № 20</t>
  </si>
  <si>
    <t>(д.м.г.)</t>
  </si>
  <si>
    <t>ВЕДОМОСЬ ВЫЧИСЛЕНИЯ АСТРОНОМИЧЕСКОГО АЗИМУТА ПО ЧАСОВОМУ УГЛУ СОЛНЦА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</si>
</sst>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11">
    <font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4" fillId="2" borderId="3" xfId="0" applyNumberFormat="1" applyFon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0" fillId="0" borderId="3" xfId="0" applyNumberForma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7" fillId="2" borderId="8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7" fillId="4" borderId="4" xfId="0" applyNumberFormat="1" applyFont="1" applyFill="1" applyBorder="1" applyAlignment="1">
      <alignment/>
    </xf>
    <xf numFmtId="0" fontId="7" fillId="3" borderId="8" xfId="0" applyNumberFormat="1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3" borderId="9" xfId="0" applyNumberFormat="1" applyFont="1" applyFill="1" applyBorder="1" applyAlignment="1">
      <alignment/>
    </xf>
    <xf numFmtId="0" fontId="7" fillId="3" borderId="10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0" borderId="9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0" fontId="0" fillId="3" borderId="3" xfId="0" applyNumberFormat="1" applyFill="1" applyBorder="1" applyAlignment="1">
      <alignment/>
    </xf>
    <xf numFmtId="164" fontId="7" fillId="0" borderId="8" xfId="0" applyNumberFormat="1" applyFont="1" applyBorder="1" applyAlignment="1">
      <alignment/>
    </xf>
    <xf numFmtId="2" fontId="7" fillId="2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right"/>
    </xf>
    <xf numFmtId="2" fontId="0" fillId="4" borderId="4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14" xfId="0" applyNumberForma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2" fontId="0" fillId="3" borderId="15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/>
    </xf>
    <xf numFmtId="2" fontId="0" fillId="4" borderId="6" xfId="0" applyNumberFormat="1" applyFont="1" applyFill="1" applyBorder="1" applyAlignment="1">
      <alignment/>
    </xf>
    <xf numFmtId="2" fontId="0" fillId="4" borderId="13" xfId="0" applyNumberFormat="1" applyFont="1" applyFill="1" applyBorder="1" applyAlignment="1">
      <alignment/>
    </xf>
    <xf numFmtId="2" fontId="0" fillId="4" borderId="4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8" xfId="0" applyNumberFormat="1" applyFont="1" applyBorder="1" applyAlignment="1">
      <alignment horizontal="right"/>
    </xf>
    <xf numFmtId="166" fontId="7" fillId="3" borderId="1" xfId="0" applyNumberFormat="1" applyFont="1" applyFill="1" applyBorder="1" applyAlignment="1">
      <alignment/>
    </xf>
    <xf numFmtId="1" fontId="10" fillId="3" borderId="9" xfId="0" applyNumberFormat="1" applyFont="1" applyFill="1" applyBorder="1" applyAlignment="1">
      <alignment/>
    </xf>
    <xf numFmtId="0" fontId="10" fillId="3" borderId="10" xfId="0" applyNumberFormat="1" applyFont="1" applyFill="1" applyBorder="1" applyAlignment="1">
      <alignment/>
    </xf>
    <xf numFmtId="1" fontId="10" fillId="3" borderId="10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" fillId="3" borderId="22" xfId="0" applyNumberFormat="1" applyFont="1" applyFill="1" applyBorder="1" applyAlignment="1">
      <alignment horizontal="center" vertical="center"/>
    </xf>
    <xf numFmtId="0" fontId="5" fillId="3" borderId="23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5" fillId="3" borderId="19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D3" sqref="D3:G3"/>
    </sheetView>
  </sheetViews>
  <sheetFormatPr defaultColWidth="9.00390625" defaultRowHeight="12.75"/>
  <cols>
    <col min="1" max="1" width="2.875" style="0" customWidth="1"/>
    <col min="2" max="2" width="15.375" style="0" customWidth="1"/>
    <col min="3" max="5" width="8.625" style="0" customWidth="1"/>
    <col min="6" max="6" width="6.875" style="0" customWidth="1"/>
    <col min="7" max="9" width="8.625" style="0" customWidth="1"/>
    <col min="10" max="10" width="6.875" style="0" customWidth="1"/>
  </cols>
  <sheetData>
    <row r="1" spans="1:15" ht="17.25" customHeight="1">
      <c r="A1" s="3"/>
      <c r="B1" s="74" t="s">
        <v>49</v>
      </c>
      <c r="C1" s="74"/>
      <c r="D1" s="74"/>
      <c r="E1" s="74"/>
      <c r="F1" s="74"/>
      <c r="G1" s="74"/>
      <c r="H1" s="74"/>
      <c r="I1" s="74"/>
      <c r="J1" s="74"/>
      <c r="K1" s="3"/>
      <c r="L1" s="3"/>
      <c r="M1" s="3"/>
      <c r="N1" s="3"/>
      <c r="O1" s="3"/>
    </row>
    <row r="2" spans="1:15" ht="26.25" customHeight="1">
      <c r="A2" s="3"/>
      <c r="B2" s="74"/>
      <c r="C2" s="74"/>
      <c r="D2" s="74"/>
      <c r="E2" s="74"/>
      <c r="F2" s="74"/>
      <c r="G2" s="74"/>
      <c r="H2" s="74"/>
      <c r="I2" s="74"/>
      <c r="J2" s="74"/>
      <c r="K2" s="3"/>
      <c r="L2" s="3"/>
      <c r="M2" s="3"/>
      <c r="N2" s="3"/>
      <c r="O2" s="3"/>
    </row>
    <row r="3" spans="1:15" ht="18" customHeight="1">
      <c r="A3" s="3"/>
      <c r="B3" s="3"/>
      <c r="C3" s="3"/>
      <c r="D3" s="75" t="s">
        <v>47</v>
      </c>
      <c r="E3" s="75"/>
      <c r="F3" s="75"/>
      <c r="G3" s="75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20"/>
      <c r="E4" s="20"/>
      <c r="F4" s="20"/>
      <c r="G4" s="20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53" t="s">
        <v>0</v>
      </c>
      <c r="C5" s="52">
        <v>18</v>
      </c>
      <c r="D5" s="52">
        <v>4</v>
      </c>
      <c r="E5" s="52">
        <v>86</v>
      </c>
      <c r="F5" s="54" t="s">
        <v>48</v>
      </c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53" t="s">
        <v>2</v>
      </c>
      <c r="C6" s="52">
        <v>50</v>
      </c>
      <c r="D6" s="52">
        <v>27</v>
      </c>
      <c r="E6" s="52">
        <v>22</v>
      </c>
      <c r="F6" s="54" t="s">
        <v>25</v>
      </c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53" t="s">
        <v>1</v>
      </c>
      <c r="C7" s="52">
        <v>2</v>
      </c>
      <c r="D7" s="52">
        <v>1</v>
      </c>
      <c r="E7" s="52">
        <v>40</v>
      </c>
      <c r="F7" s="54" t="s">
        <v>16</v>
      </c>
      <c r="G7" s="3"/>
      <c r="H7" s="3"/>
      <c r="I7" s="3"/>
      <c r="J7" s="3"/>
      <c r="K7" s="3"/>
      <c r="L7" s="3"/>
      <c r="M7" s="3"/>
      <c r="N7" s="3"/>
      <c r="O7" s="3"/>
    </row>
    <row r="8" spans="1:15" ht="13.5" thickBot="1">
      <c r="A8" s="3"/>
      <c r="B8" s="42"/>
      <c r="C8" s="47"/>
      <c r="D8" s="47"/>
      <c r="E8" s="47"/>
      <c r="F8" s="4"/>
      <c r="G8" s="3"/>
      <c r="H8" s="3"/>
      <c r="I8" s="3"/>
      <c r="J8" s="3"/>
      <c r="K8" s="3"/>
      <c r="L8" s="3"/>
      <c r="M8" s="3"/>
      <c r="N8" s="3"/>
      <c r="O8" s="3"/>
    </row>
    <row r="9" spans="1:15" ht="16.5" customHeight="1" thickBot="1">
      <c r="A9" s="3"/>
      <c r="B9" s="51" t="s">
        <v>3</v>
      </c>
      <c r="C9" s="76" t="s">
        <v>5</v>
      </c>
      <c r="D9" s="77"/>
      <c r="E9" s="77"/>
      <c r="F9" s="78"/>
      <c r="G9" s="76" t="s">
        <v>4</v>
      </c>
      <c r="H9" s="77"/>
      <c r="I9" s="77"/>
      <c r="J9" s="78"/>
      <c r="K9" s="3"/>
      <c r="L9" s="3"/>
      <c r="M9" s="3"/>
      <c r="N9" s="3"/>
      <c r="O9" s="3"/>
    </row>
    <row r="10" spans="1:15" ht="16.5" customHeight="1">
      <c r="A10" s="3"/>
      <c r="B10" s="82" t="s">
        <v>6</v>
      </c>
      <c r="C10" s="83"/>
      <c r="D10" s="83"/>
      <c r="E10" s="83"/>
      <c r="F10" s="83"/>
      <c r="G10" s="83"/>
      <c r="H10" s="83"/>
      <c r="I10" s="83"/>
      <c r="J10" s="84"/>
      <c r="K10" s="3"/>
      <c r="L10" s="1"/>
      <c r="M10" s="5"/>
      <c r="N10" s="3"/>
      <c r="O10" s="3"/>
    </row>
    <row r="11" spans="1:15" ht="12.75">
      <c r="A11" s="3"/>
      <c r="B11" s="8" t="s">
        <v>7</v>
      </c>
      <c r="C11" s="21">
        <v>9</v>
      </c>
      <c r="D11" s="22">
        <v>48</v>
      </c>
      <c r="E11" s="22">
        <v>30</v>
      </c>
      <c r="F11" s="23"/>
      <c r="G11" s="21">
        <v>9</v>
      </c>
      <c r="H11" s="22">
        <v>57</v>
      </c>
      <c r="I11" s="22">
        <v>31</v>
      </c>
      <c r="J11" s="9"/>
      <c r="K11" s="3"/>
      <c r="L11" s="6" t="s">
        <v>31</v>
      </c>
      <c r="M11" s="3"/>
      <c r="N11" s="3"/>
      <c r="O11" s="3"/>
    </row>
    <row r="12" spans="1:15" ht="15">
      <c r="A12" s="3"/>
      <c r="B12" s="10" t="s">
        <v>23</v>
      </c>
      <c r="C12" s="24">
        <f>IF(M16=2,4,3)</f>
        <v>4</v>
      </c>
      <c r="D12" s="25"/>
      <c r="E12" s="25"/>
      <c r="F12" s="23"/>
      <c r="G12" s="26">
        <f>C12</f>
        <v>4</v>
      </c>
      <c r="H12" s="27"/>
      <c r="I12" s="27"/>
      <c r="J12" s="9"/>
      <c r="K12" s="3"/>
      <c r="L12" s="3"/>
      <c r="M12" s="3"/>
      <c r="N12" s="3"/>
      <c r="O12" s="3"/>
    </row>
    <row r="13" spans="1:15" ht="13.5" thickBot="1">
      <c r="A13" s="3"/>
      <c r="B13" s="11" t="s">
        <v>8</v>
      </c>
      <c r="C13" s="28">
        <f>IF((C11-C12)&lt;0,(C11-C12)+24,C11-C12)</f>
        <v>5</v>
      </c>
      <c r="D13" s="29">
        <f>D11</f>
        <v>48</v>
      </c>
      <c r="E13" s="29">
        <f>E11</f>
        <v>30</v>
      </c>
      <c r="F13" s="30"/>
      <c r="G13" s="31">
        <f>IF((G11-G12)&lt;0,(G11-G12)+24,G11-G12)</f>
        <v>5</v>
      </c>
      <c r="H13" s="32">
        <f>H11</f>
        <v>57</v>
      </c>
      <c r="I13" s="32">
        <f>I11</f>
        <v>31</v>
      </c>
      <c r="J13" s="12"/>
      <c r="K13" s="3"/>
      <c r="L13" s="3" t="s">
        <v>32</v>
      </c>
      <c r="M13" s="3"/>
      <c r="N13" s="3"/>
      <c r="O13" s="3"/>
    </row>
    <row r="14" spans="1:15" ht="16.5" customHeight="1">
      <c r="A14" s="3"/>
      <c r="B14" s="70" t="s">
        <v>9</v>
      </c>
      <c r="C14" s="71"/>
      <c r="D14" s="71"/>
      <c r="E14" s="71"/>
      <c r="F14" s="71"/>
      <c r="G14" s="71"/>
      <c r="H14" s="71"/>
      <c r="I14" s="71"/>
      <c r="J14" s="72"/>
      <c r="K14" s="3"/>
      <c r="L14" s="3" t="s">
        <v>33</v>
      </c>
      <c r="M14" s="3"/>
      <c r="N14" s="3"/>
      <c r="O14" s="3"/>
    </row>
    <row r="15" spans="1:15" ht="12.75">
      <c r="A15" s="3"/>
      <c r="B15" s="13" t="s">
        <v>10</v>
      </c>
      <c r="C15" s="33">
        <f>C13+(D13/60)+(E13/3600)</f>
        <v>5.808333333333334</v>
      </c>
      <c r="D15" s="27"/>
      <c r="E15" s="27"/>
      <c r="F15" s="55"/>
      <c r="G15" s="33">
        <f>G13+(H13/60)+(I13/3600)</f>
        <v>5.958611111111111</v>
      </c>
      <c r="H15" s="27"/>
      <c r="I15" s="27"/>
      <c r="J15" s="9"/>
      <c r="K15" s="3"/>
      <c r="L15" s="3" t="s">
        <v>34</v>
      </c>
      <c r="M15" s="3"/>
      <c r="N15" s="3"/>
      <c r="O15" s="3"/>
    </row>
    <row r="16" spans="1:15" ht="15">
      <c r="A16" s="3"/>
      <c r="B16" s="14" t="s">
        <v>11</v>
      </c>
      <c r="C16" s="21">
        <v>12</v>
      </c>
      <c r="D16" s="22">
        <v>0</v>
      </c>
      <c r="E16" s="22">
        <v>29.6</v>
      </c>
      <c r="F16" s="55">
        <f>C16+(D16/60)+(E16/3600)</f>
        <v>12.008222222222223</v>
      </c>
      <c r="G16" s="24">
        <f>C16</f>
        <v>12</v>
      </c>
      <c r="H16" s="25">
        <f>D16</f>
        <v>0</v>
      </c>
      <c r="I16" s="65">
        <f>E16</f>
        <v>29.6</v>
      </c>
      <c r="J16" s="43">
        <f>F16</f>
        <v>12.008222222222223</v>
      </c>
      <c r="K16" s="3"/>
      <c r="L16" s="3"/>
      <c r="M16" s="2">
        <v>2</v>
      </c>
      <c r="N16" s="3"/>
      <c r="O16" s="3"/>
    </row>
    <row r="17" spans="1:15" ht="12.75">
      <c r="A17" s="3"/>
      <c r="B17" s="39" t="s">
        <v>15</v>
      </c>
      <c r="C17" s="24"/>
      <c r="D17" s="27"/>
      <c r="E17" s="41">
        <v>0.57</v>
      </c>
      <c r="F17" s="55"/>
      <c r="G17" s="24"/>
      <c r="H17" s="27"/>
      <c r="I17" s="65">
        <f>E17</f>
        <v>0.57</v>
      </c>
      <c r="J17" s="43"/>
      <c r="K17" s="3"/>
      <c r="L17" s="3"/>
      <c r="M17" s="3"/>
      <c r="N17" s="3"/>
      <c r="O17" s="3"/>
    </row>
    <row r="18" spans="1:15" ht="12.75">
      <c r="A18" s="3"/>
      <c r="B18" s="13" t="s">
        <v>17</v>
      </c>
      <c r="C18" s="26"/>
      <c r="D18" s="27"/>
      <c r="E18" s="34">
        <f>C15*E17</f>
        <v>3.3107499999999996</v>
      </c>
      <c r="F18" s="55"/>
      <c r="G18" s="26"/>
      <c r="H18" s="27"/>
      <c r="I18" s="34">
        <f>I17*G15</f>
        <v>3.396408333333333</v>
      </c>
      <c r="J18" s="43"/>
      <c r="K18" s="3"/>
      <c r="L18" s="3"/>
      <c r="M18" s="3"/>
      <c r="N18" s="3"/>
      <c r="O18" s="3"/>
    </row>
    <row r="19" spans="1:15" ht="12.75">
      <c r="A19" s="3"/>
      <c r="B19" s="13" t="s">
        <v>12</v>
      </c>
      <c r="C19" s="26">
        <f>C7</f>
        <v>2</v>
      </c>
      <c r="D19" s="27">
        <f>D7</f>
        <v>1</v>
      </c>
      <c r="E19" s="27">
        <f>E7</f>
        <v>40</v>
      </c>
      <c r="F19" s="55">
        <f>C19+(D19/60)+(E19/3600)</f>
        <v>2.0277777777777777</v>
      </c>
      <c r="G19" s="26">
        <f>C7</f>
        <v>2</v>
      </c>
      <c r="H19" s="27">
        <f>D7</f>
        <v>1</v>
      </c>
      <c r="I19" s="34">
        <f>E7</f>
        <v>40</v>
      </c>
      <c r="J19" s="43">
        <f>F19</f>
        <v>2.0277777777777777</v>
      </c>
      <c r="K19" s="3"/>
      <c r="L19" s="3"/>
      <c r="M19" s="3"/>
      <c r="N19" s="3"/>
      <c r="O19" s="3"/>
    </row>
    <row r="20" spans="1:15" ht="15">
      <c r="A20" s="3"/>
      <c r="B20" s="16" t="s">
        <v>13</v>
      </c>
      <c r="C20" s="26">
        <f>INT(F20)</f>
        <v>19</v>
      </c>
      <c r="D20" s="27">
        <f>INT(F20*60-C20*60)</f>
        <v>50</v>
      </c>
      <c r="E20" s="34">
        <f>F20*3600-(C20*3600+D20*60)</f>
        <v>42.91075000001001</v>
      </c>
      <c r="F20" s="55">
        <f>IF((F16+C15+E18/3600+F19)&gt;24,(F16+C15+E18/3600+F19)-24,F16+C15+E18/3600+F19)</f>
        <v>19.845252986111113</v>
      </c>
      <c r="G20" s="26">
        <f>INT(J20)</f>
        <v>19</v>
      </c>
      <c r="H20" s="27">
        <f>INT(J20*60-G20*60)</f>
        <v>59</v>
      </c>
      <c r="I20" s="34">
        <f>J20*3600-(G20*3600+H20*60)</f>
        <v>43.99640833333251</v>
      </c>
      <c r="J20" s="43">
        <f>IF((J16+G15+I18/3600+J19)&gt;24,(J16+G15+I18/3600+J19)-24,(J16+G15+I18/3600+J19))</f>
        <v>19.99555455787037</v>
      </c>
      <c r="K20" s="3"/>
      <c r="L20" s="3"/>
      <c r="M20" s="3"/>
      <c r="N20" s="3"/>
      <c r="O20" s="3"/>
    </row>
    <row r="21" spans="1:15" ht="15.75" thickBot="1">
      <c r="A21" s="3"/>
      <c r="B21" s="17" t="s">
        <v>14</v>
      </c>
      <c r="C21" s="31">
        <f>INT(F21)</f>
        <v>297</v>
      </c>
      <c r="D21" s="32">
        <f>INT(F21*60-C21*60)</f>
        <v>40</v>
      </c>
      <c r="E21" s="63">
        <f>F21*3600-(C21*3600+D21*60)</f>
        <v>43.66125000012107</v>
      </c>
      <c r="F21" s="56">
        <f>(F20*15)</f>
        <v>297.6787947916667</v>
      </c>
      <c r="G21" s="31">
        <f>INT(J21)</f>
        <v>299</v>
      </c>
      <c r="H21" s="32">
        <f>INT(J21*60-G21*60)</f>
        <v>55</v>
      </c>
      <c r="I21" s="63">
        <f>J21*3600-(G21*3600+H21*60)</f>
        <v>59.946125000016764</v>
      </c>
      <c r="J21" s="44">
        <f>(J20*15)</f>
        <v>299.93331836805555</v>
      </c>
      <c r="K21" s="3"/>
      <c r="L21" s="3"/>
      <c r="M21" s="3"/>
      <c r="N21" s="3"/>
      <c r="O21" s="3"/>
    </row>
    <row r="22" spans="1:15" ht="16.5" customHeight="1">
      <c r="A22" s="3"/>
      <c r="B22" s="70" t="s">
        <v>18</v>
      </c>
      <c r="C22" s="71"/>
      <c r="D22" s="71"/>
      <c r="E22" s="71"/>
      <c r="F22" s="71"/>
      <c r="G22" s="71"/>
      <c r="H22" s="71"/>
      <c r="I22" s="71"/>
      <c r="J22" s="72"/>
      <c r="K22" s="3"/>
      <c r="L22" s="3"/>
      <c r="M22" s="3"/>
      <c r="N22" s="3"/>
      <c r="O22" s="3"/>
    </row>
    <row r="23" spans="1:15" ht="15">
      <c r="A23" s="3"/>
      <c r="B23" s="14" t="s">
        <v>22</v>
      </c>
      <c r="C23" s="21">
        <v>10</v>
      </c>
      <c r="D23" s="22">
        <v>38</v>
      </c>
      <c r="E23" s="22">
        <v>50</v>
      </c>
      <c r="F23" s="55">
        <f>C23+(D23/60)+(E23/3600)</f>
        <v>10.647222222222222</v>
      </c>
      <c r="G23" s="26">
        <f>C23</f>
        <v>10</v>
      </c>
      <c r="H23" s="27">
        <f>D23</f>
        <v>38</v>
      </c>
      <c r="I23" s="27">
        <f>E23</f>
        <v>50</v>
      </c>
      <c r="J23" s="43">
        <f>G23+(H23/60)+(I23/3600)</f>
        <v>10.647222222222222</v>
      </c>
      <c r="K23" s="3"/>
      <c r="L23" s="3"/>
      <c r="M23" s="3"/>
      <c r="N23" s="3"/>
      <c r="O23" s="3"/>
    </row>
    <row r="24" spans="1:15" ht="12.75">
      <c r="A24" s="3"/>
      <c r="B24" s="13" t="s">
        <v>21</v>
      </c>
      <c r="C24" s="26"/>
      <c r="D24" s="27"/>
      <c r="E24" s="22">
        <v>52.6</v>
      </c>
      <c r="F24" s="55"/>
      <c r="G24" s="26"/>
      <c r="H24" s="27"/>
      <c r="I24" s="27">
        <f>E24</f>
        <v>52.6</v>
      </c>
      <c r="J24" s="43"/>
      <c r="K24" s="3"/>
      <c r="L24" s="3"/>
      <c r="M24" s="3"/>
      <c r="N24" s="3"/>
      <c r="O24" s="3"/>
    </row>
    <row r="25" spans="1:15" ht="12.75">
      <c r="A25" s="3"/>
      <c r="B25" s="13" t="s">
        <v>20</v>
      </c>
      <c r="C25" s="26"/>
      <c r="D25" s="35">
        <f>F25*60</f>
        <v>5.091972222222223</v>
      </c>
      <c r="E25" s="27"/>
      <c r="F25" s="55">
        <f>C15*E24/3600</f>
        <v>0.08486620370370372</v>
      </c>
      <c r="G25" s="26"/>
      <c r="H25" s="35">
        <f>J25*60</f>
        <v>5.22371574074074</v>
      </c>
      <c r="I25" s="27"/>
      <c r="J25" s="43">
        <f>G15*I24/3600</f>
        <v>0.08706192901234568</v>
      </c>
      <c r="K25" s="3"/>
      <c r="L25" s="3"/>
      <c r="M25" s="3"/>
      <c r="N25" s="3"/>
      <c r="O25" s="3"/>
    </row>
    <row r="26" spans="1:15" ht="15.75" thickBot="1">
      <c r="A26" s="3"/>
      <c r="B26" s="18" t="s">
        <v>19</v>
      </c>
      <c r="C26" s="36">
        <f>INT(F26)</f>
        <v>0</v>
      </c>
      <c r="D26" s="37">
        <f>INT(F26*60-C26*60)</f>
        <v>11</v>
      </c>
      <c r="E26" s="62">
        <f>F26*3600-(C26*3600+D26*60)</f>
        <v>14.317003131298748</v>
      </c>
      <c r="F26" s="57">
        <f>RADIANS(F23+F25)</f>
        <v>0.18731027864758298</v>
      </c>
      <c r="G26" s="36">
        <f>INT(J26)</f>
        <v>0</v>
      </c>
      <c r="H26" s="37">
        <f>INT(J26*60-G26*60)</f>
        <v>11</v>
      </c>
      <c r="I26" s="62">
        <f>J26*3600-(G26*3600+H26*60)</f>
        <v>14.454964621277327</v>
      </c>
      <c r="J26" s="45">
        <f>RADIANS(J23+J25)</f>
        <v>0.18734860128368816</v>
      </c>
      <c r="K26" s="3"/>
      <c r="L26" s="3"/>
      <c r="M26" s="3"/>
      <c r="N26" s="3"/>
      <c r="O26" s="3"/>
    </row>
    <row r="27" spans="1:15" ht="16.5" customHeight="1">
      <c r="A27" s="3"/>
      <c r="B27" s="70" t="s">
        <v>24</v>
      </c>
      <c r="C27" s="71"/>
      <c r="D27" s="71"/>
      <c r="E27" s="71"/>
      <c r="F27" s="71"/>
      <c r="G27" s="71"/>
      <c r="H27" s="71"/>
      <c r="I27" s="71"/>
      <c r="J27" s="72"/>
      <c r="K27" s="3"/>
      <c r="L27" s="3"/>
      <c r="M27" s="3"/>
      <c r="N27" s="3"/>
      <c r="O27" s="3"/>
    </row>
    <row r="28" spans="1:15" ht="12.75">
      <c r="A28" s="3"/>
      <c r="B28" s="19" t="s">
        <v>26</v>
      </c>
      <c r="C28" s="59">
        <f>C6</f>
        <v>50</v>
      </c>
      <c r="D28" s="60">
        <f>D6</f>
        <v>27</v>
      </c>
      <c r="E28" s="60">
        <f>E6</f>
        <v>22</v>
      </c>
      <c r="F28" s="58">
        <f>RADIANS(C28+D28/60+E28/3600)</f>
        <v>0.8806252666409834</v>
      </c>
      <c r="G28" s="64">
        <f>C6</f>
        <v>50</v>
      </c>
      <c r="H28" s="60">
        <f>D6</f>
        <v>27</v>
      </c>
      <c r="I28" s="60">
        <f>E6</f>
        <v>22</v>
      </c>
      <c r="J28" s="46">
        <f>RADIANS(G28+(H28/60)+(I28/3600))</f>
        <v>0.8806252666409834</v>
      </c>
      <c r="K28" s="3"/>
      <c r="L28" s="3"/>
      <c r="M28" s="3"/>
      <c r="N28" s="3"/>
      <c r="O28" s="3"/>
    </row>
    <row r="29" spans="1:15" ht="15">
      <c r="A29" s="3"/>
      <c r="B29" s="13" t="s">
        <v>27</v>
      </c>
      <c r="C29" s="40">
        <f>SIN(F28)*(1/TAN(RADIANS(F21)))-((COS(F28)*TAN(F26))/SIN(RADIANS(F21)))</f>
        <v>-0.2682297380024353</v>
      </c>
      <c r="D29" s="34"/>
      <c r="E29" s="34"/>
      <c r="F29" s="55">
        <f>1/C29</f>
        <v>-3.7281473987456257</v>
      </c>
      <c r="G29" s="40">
        <f>SIN(J28)*(1/TAN(RADIANS(J21)))-((COS(J28)*TAN(J26))/SIN(RADIANS(J21)))</f>
        <v>-0.30474791005086305</v>
      </c>
      <c r="H29" s="34"/>
      <c r="I29" s="34"/>
      <c r="J29" s="43">
        <f>1/G29</f>
        <v>-3.281400682397126</v>
      </c>
      <c r="K29" s="3"/>
      <c r="L29" s="3"/>
      <c r="M29" s="3"/>
      <c r="N29" s="3"/>
      <c r="O29" s="3"/>
    </row>
    <row r="30" spans="1:12" ht="15">
      <c r="A30" s="3"/>
      <c r="B30" s="16" t="s">
        <v>28</v>
      </c>
      <c r="C30" s="38">
        <f>INT(F30)</f>
        <v>74</v>
      </c>
      <c r="D30" s="34">
        <f>INT(F30*60-C30*60)</f>
        <v>59</v>
      </c>
      <c r="E30" s="34">
        <f>F30*3600-(C30*3600+D30*60)</f>
        <v>6.013442148745526</v>
      </c>
      <c r="F30" s="55">
        <f>DEGREES(ABS(ATAN(F29)))</f>
        <v>74.9850037339302</v>
      </c>
      <c r="G30" s="38">
        <f>INT(J30)</f>
        <v>73</v>
      </c>
      <c r="H30" s="34">
        <f>INT(J30*60-G30*60)</f>
        <v>3</v>
      </c>
      <c r="I30" s="34">
        <f>J30*3600-(G30*3600+H30*60)</f>
        <v>5.4340620509465225</v>
      </c>
      <c r="J30" s="43">
        <f>DEGREES(ABS(ATAN(J29)))</f>
        <v>73.05150946168082</v>
      </c>
      <c r="K30" s="3"/>
      <c r="L30" s="3"/>
    </row>
    <row r="31" spans="1:12" ht="12.75">
      <c r="A31" s="3"/>
      <c r="B31" s="13" t="s">
        <v>29</v>
      </c>
      <c r="C31" s="79">
        <f>IF((C11+D11/60+E11/3600)&lt;12,IF(C29&lt;0,2,1),IF(C29&lt;0,4,3))</f>
        <v>2</v>
      </c>
      <c r="D31" s="80"/>
      <c r="E31" s="81"/>
      <c r="F31" s="55"/>
      <c r="G31" s="79">
        <f>IF((G11+H11/60+I11/3600)&lt;12,IF(G29&lt;0,2,1),IF(G29&lt;0,4,3))</f>
        <v>2</v>
      </c>
      <c r="H31" s="80"/>
      <c r="I31" s="81"/>
      <c r="J31" s="43"/>
      <c r="K31" s="3"/>
      <c r="L31" s="3"/>
    </row>
    <row r="32" spans="1:12" ht="15.75" thickBot="1">
      <c r="A32" s="3"/>
      <c r="B32" s="18" t="s">
        <v>30</v>
      </c>
      <c r="C32" s="61">
        <f>INT(F32)</f>
        <v>105</v>
      </c>
      <c r="D32" s="62">
        <f>INT(F32*60-C32*60)</f>
        <v>0</v>
      </c>
      <c r="E32" s="62">
        <f>F32*3600-(C32*3600+D32*60)</f>
        <v>53.986557851254474</v>
      </c>
      <c r="F32" s="57">
        <f>IF(C31=2,180-F30,IF(C31=1,F30,IF(C31=3,180+F30,360-F30)))</f>
        <v>105.0149962660698</v>
      </c>
      <c r="G32" s="61">
        <f>INT(J32)</f>
        <v>106</v>
      </c>
      <c r="H32" s="62">
        <f>INT(J32*60-G32*60)</f>
        <v>56</v>
      </c>
      <c r="I32" s="62">
        <f>J32*3600-(G32*3600+H32*60)</f>
        <v>54.56593794905348</v>
      </c>
      <c r="J32" s="45">
        <f>IF(G31=2,180-J30,IF(G31=1,J30,IF(G31=3,180+J30,360-J30)))</f>
        <v>106.94849053831918</v>
      </c>
      <c r="K32" s="3"/>
      <c r="L32" s="3"/>
    </row>
    <row r="33" spans="1:12" ht="16.5" customHeight="1">
      <c r="A33" s="3"/>
      <c r="B33" s="70" t="s">
        <v>35</v>
      </c>
      <c r="C33" s="71"/>
      <c r="D33" s="71"/>
      <c r="E33" s="71"/>
      <c r="F33" s="71"/>
      <c r="G33" s="71"/>
      <c r="H33" s="71"/>
      <c r="I33" s="71"/>
      <c r="J33" s="72"/>
      <c r="K33" s="3"/>
      <c r="L33" s="3"/>
    </row>
    <row r="34" spans="1:12" ht="12.75">
      <c r="A34" s="3"/>
      <c r="B34" s="15" t="s">
        <v>36</v>
      </c>
      <c r="C34" s="21">
        <v>137</v>
      </c>
      <c r="D34" s="22">
        <v>31</v>
      </c>
      <c r="E34" s="22">
        <v>0</v>
      </c>
      <c r="F34" s="55">
        <f>C34+(D34/60+E34/3600)</f>
        <v>137.51666666666668</v>
      </c>
      <c r="G34" s="21">
        <v>135</v>
      </c>
      <c r="H34" s="22">
        <v>35</v>
      </c>
      <c r="I34" s="22">
        <v>30</v>
      </c>
      <c r="J34" s="43">
        <f>G34+(H34/60)+(I34/3600)</f>
        <v>135.59166666666667</v>
      </c>
      <c r="K34" s="3"/>
      <c r="L34" s="3"/>
    </row>
    <row r="35" spans="1:12" ht="12.75">
      <c r="A35" s="3"/>
      <c r="B35" s="13" t="s">
        <v>37</v>
      </c>
      <c r="C35" s="26">
        <f>INT(F35)</f>
        <v>242</v>
      </c>
      <c r="D35" s="27">
        <f>INT(F35*60-C35*60)</f>
        <v>31</v>
      </c>
      <c r="E35" s="34">
        <f>F35*3600-(C35*3600+D35*60)</f>
        <v>53.98655785131268</v>
      </c>
      <c r="F35" s="55">
        <f>IF((F34+F32)&gt;360,(F34+F32)-360,F34+F32)</f>
        <v>242.53166293273648</v>
      </c>
      <c r="G35" s="26">
        <f>INT(J35)</f>
        <v>242</v>
      </c>
      <c r="H35" s="27">
        <f>INT(J35*60-G35*60)</f>
        <v>32</v>
      </c>
      <c r="I35" s="34">
        <f>J35*3600-(G35*3600+H35*60)</f>
        <v>24.565937949111685</v>
      </c>
      <c r="J35" s="43">
        <f>IF((J34+J32)&gt;360,(J34+J32)-360,J34+J32)</f>
        <v>242.54015720498586</v>
      </c>
      <c r="K35" s="3"/>
      <c r="L35" s="3"/>
    </row>
    <row r="36" spans="1:12" ht="12.75">
      <c r="A36" s="3"/>
      <c r="B36" s="13" t="s">
        <v>38</v>
      </c>
      <c r="C36" s="26">
        <f>INT(F36)</f>
        <v>242</v>
      </c>
      <c r="D36" s="27">
        <f>INT(F36*60-C36*60)</f>
        <v>32</v>
      </c>
      <c r="E36" s="34">
        <f>F36*3600-(C36*3600+D36*60)</f>
        <v>9.276247900212184</v>
      </c>
      <c r="F36" s="55">
        <f>(F35+J35)/2</f>
        <v>242.53591006886117</v>
      </c>
      <c r="G36" s="26"/>
      <c r="H36" s="27"/>
      <c r="I36" s="27"/>
      <c r="J36" s="43"/>
      <c r="K36" s="3"/>
      <c r="L36" s="3"/>
    </row>
    <row r="37" spans="1:12" ht="12.75">
      <c r="A37" s="3"/>
      <c r="B37" s="13" t="s">
        <v>39</v>
      </c>
      <c r="C37" s="26">
        <f>IF(INT((CEILING(F19*15,3)/6))=CEILING(F19*15,3)/6,IF(CEILING(F19*15,3)&lt;(F19*15),CEILING(F19*15,3)+3,CEILING(F19*15,3)-3),CEILING(F19*15,3))</f>
        <v>33</v>
      </c>
      <c r="D37" s="27"/>
      <c r="E37" s="27"/>
      <c r="F37" s="55"/>
      <c r="G37" s="26"/>
      <c r="H37" s="27"/>
      <c r="I37" s="27"/>
      <c r="J37" s="43"/>
      <c r="K37" s="3"/>
      <c r="L37" s="3"/>
    </row>
    <row r="38" spans="1:12" ht="12.75">
      <c r="A38" s="3"/>
      <c r="B38" s="13" t="s">
        <v>40</v>
      </c>
      <c r="C38" s="38">
        <f>ROUNDDOWN(F38,0)</f>
        <v>-1</v>
      </c>
      <c r="D38" s="27">
        <f>(ROUNDDOWN(F38*60-C38*60,0))</f>
        <v>-59</v>
      </c>
      <c r="E38" s="34">
        <f>F38*3600-(C38*3600+D38*60)</f>
        <v>-31.575193357652097</v>
      </c>
      <c r="F38" s="55">
        <f>(F19*15-C37)*SIN(F28)</f>
        <v>-1.9921042203771255</v>
      </c>
      <c r="G38" s="26"/>
      <c r="H38" s="27"/>
      <c r="I38" s="27"/>
      <c r="J38" s="43"/>
      <c r="K38" s="3"/>
      <c r="L38" s="3"/>
    </row>
    <row r="39" spans="1:12" ht="13.5" thickBot="1">
      <c r="A39" s="3"/>
      <c r="B39" s="69" t="s">
        <v>41</v>
      </c>
      <c r="C39" s="66">
        <f>INT(F39)</f>
        <v>244</v>
      </c>
      <c r="D39" s="67">
        <f>INT(F39*60-C39*60)</f>
        <v>31</v>
      </c>
      <c r="E39" s="68">
        <f>F39*3600-(C39*3600+D39*60)</f>
        <v>40.8514412578661</v>
      </c>
      <c r="F39" s="56">
        <f>F36-F38</f>
        <v>244.52801428923829</v>
      </c>
      <c r="G39" s="31"/>
      <c r="H39" s="32"/>
      <c r="I39" s="32"/>
      <c r="J39" s="12"/>
      <c r="K39" s="3"/>
      <c r="L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 t="s">
        <v>42</v>
      </c>
      <c r="C42" s="7">
        <v>1.5</v>
      </c>
      <c r="D42" s="3" t="s">
        <v>43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 t="s">
        <v>45</v>
      </c>
      <c r="C43" s="48">
        <f>ABS((J35-F35)*60)</f>
        <v>0.5096563349627559</v>
      </c>
      <c r="D43" s="3" t="s">
        <v>43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4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4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 t="s">
        <v>46</v>
      </c>
      <c r="C47" s="73"/>
      <c r="D47" s="73"/>
      <c r="E47" s="3"/>
      <c r="F47" s="3"/>
      <c r="G47" s="3"/>
      <c r="H47" s="3" t="s">
        <v>44</v>
      </c>
      <c r="I47" s="50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12">
    <mergeCell ref="B14:J14"/>
    <mergeCell ref="B22:J22"/>
    <mergeCell ref="B27:J27"/>
    <mergeCell ref="C47:D47"/>
    <mergeCell ref="B1:J2"/>
    <mergeCell ref="D3:G3"/>
    <mergeCell ref="B33:J33"/>
    <mergeCell ref="C9:F9"/>
    <mergeCell ref="G9:J9"/>
    <mergeCell ref="C31:E31"/>
    <mergeCell ref="G31:I31"/>
    <mergeCell ref="B10:J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Строганов Антон</cp:lastModifiedBy>
  <cp:lastPrinted>2007-02-20T18:27:51Z</cp:lastPrinted>
  <dcterms:created xsi:type="dcterms:W3CDTF">2007-02-19T15:55:43Z</dcterms:created>
  <dcterms:modified xsi:type="dcterms:W3CDTF">2007-04-06T09:56:03Z</dcterms:modified>
  <cp:category/>
  <cp:version/>
  <cp:contentType/>
  <cp:contentStatus/>
</cp:coreProperties>
</file>